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18435" windowHeight="7935" activeTab="2"/>
  </bookViews>
  <sheets>
    <sheet name="Notes" sheetId="1" r:id="rId1"/>
    <sheet name="Admissibilités" sheetId="2" r:id="rId2"/>
    <sheet name="Oraux" sheetId="4" r:id="rId3"/>
  </sheets>
  <calcPr calcId="125725"/>
  <fileRecoveryPr repairLoad="1"/>
</workbook>
</file>

<file path=xl/calcChain.xml><?xml version="1.0" encoding="utf-8"?>
<calcChain xmlns="http://schemas.openxmlformats.org/spreadsheetml/2006/main">
  <c r="K30" i="4"/>
  <c r="J30"/>
  <c r="I30"/>
  <c r="E30"/>
  <c r="F30"/>
  <c r="G30"/>
  <c r="H30"/>
  <c r="D30"/>
  <c r="C30"/>
  <c r="J16"/>
  <c r="I16"/>
  <c r="H16"/>
  <c r="D16"/>
  <c r="D4" i="2"/>
  <c r="E4" s="1"/>
  <c r="E16" i="4"/>
  <c r="C16"/>
  <c r="D28" i="2"/>
  <c r="E28" s="1"/>
  <c r="D27"/>
  <c r="F27" s="1"/>
  <c r="D26"/>
  <c r="E26" s="1"/>
  <c r="D25"/>
  <c r="F25" s="1"/>
  <c r="D24"/>
  <c r="F24" s="1"/>
  <c r="D23"/>
  <c r="F23" s="1"/>
  <c r="D22"/>
  <c r="F22" s="1"/>
  <c r="D21"/>
  <c r="F21" s="1"/>
  <c r="D20"/>
  <c r="F20" s="1"/>
  <c r="D14"/>
  <c r="F14" s="1"/>
  <c r="D19"/>
  <c r="F19" s="1"/>
  <c r="D18"/>
  <c r="F18" s="1"/>
  <c r="F26"/>
  <c r="D17"/>
  <c r="F17" s="1"/>
  <c r="D16"/>
  <c r="F16" s="1"/>
  <c r="D15"/>
  <c r="F15" s="1"/>
  <c r="D13"/>
  <c r="F13" s="1"/>
  <c r="D7"/>
  <c r="F7" s="1"/>
  <c r="D6"/>
  <c r="F6" s="1"/>
  <c r="D12"/>
  <c r="F12" s="1"/>
  <c r="D11"/>
  <c r="F11" s="1"/>
  <c r="D10"/>
  <c r="F10" s="1"/>
  <c r="D8"/>
  <c r="F8" s="1"/>
  <c r="D5"/>
  <c r="F5" s="1"/>
  <c r="D9"/>
  <c r="F9" s="1"/>
  <c r="E24" l="1"/>
  <c r="F28"/>
  <c r="E16"/>
  <c r="E22"/>
  <c r="H29" i="4"/>
  <c r="E14" i="2"/>
  <c r="E20"/>
  <c r="F29" i="4"/>
  <c r="F32" s="1"/>
  <c r="F34" s="1"/>
  <c r="E12" i="2"/>
  <c r="D29" i="4"/>
  <c r="E11" i="2"/>
  <c r="C29" i="4"/>
  <c r="C32" s="1"/>
  <c r="C34" s="1"/>
  <c r="E29"/>
  <c r="E32" s="1"/>
  <c r="E34" s="1"/>
  <c r="E10" i="2"/>
  <c r="E13"/>
  <c r="E17"/>
  <c r="J15" i="4"/>
  <c r="I29"/>
  <c r="I32" s="1"/>
  <c r="I34" s="1"/>
  <c r="J18"/>
  <c r="J20" s="1"/>
  <c r="E18" i="2"/>
  <c r="J29" i="4"/>
  <c r="J32" s="1"/>
  <c r="J34" s="1"/>
  <c r="H32"/>
  <c r="H34" s="1"/>
  <c r="E15" i="2"/>
  <c r="E19"/>
  <c r="E21"/>
  <c r="E23"/>
  <c r="E25"/>
  <c r="E27"/>
  <c r="G29" i="4"/>
  <c r="K29"/>
  <c r="K32" s="1"/>
  <c r="K34" s="1"/>
  <c r="G32"/>
  <c r="G34" s="1"/>
  <c r="E8" i="2"/>
  <c r="H15" i="4"/>
  <c r="E9" i="2"/>
  <c r="I15" i="4"/>
  <c r="I18" s="1"/>
  <c r="I20" s="1"/>
  <c r="D15"/>
  <c r="D18" s="1"/>
  <c r="D20" s="1"/>
  <c r="F4" i="2"/>
  <c r="E7"/>
  <c r="E15" i="4"/>
  <c r="E18" s="1"/>
  <c r="E20" s="1"/>
  <c r="C15"/>
  <c r="H18"/>
  <c r="H20" s="1"/>
  <c r="C18"/>
  <c r="C20" s="1"/>
  <c r="E6" i="2"/>
  <c r="D32" i="4" l="1"/>
  <c r="D34" s="1"/>
</calcChain>
</file>

<file path=xl/sharedStrings.xml><?xml version="1.0" encoding="utf-8"?>
<sst xmlns="http://schemas.openxmlformats.org/spreadsheetml/2006/main" count="115" uniqueCount="71">
  <si>
    <t>Entrez vos notes !</t>
  </si>
  <si>
    <t>Mathématiques</t>
  </si>
  <si>
    <t>HGG</t>
  </si>
  <si>
    <t>Culture générale (dissertation)</t>
  </si>
  <si>
    <t xml:space="preserve">Epreuve I HEC </t>
  </si>
  <si>
    <t>Epreuve ESCP</t>
  </si>
  <si>
    <t>Epreuve HEC</t>
  </si>
  <si>
    <t>Epreuve ESSEC</t>
  </si>
  <si>
    <t>Epreuve EDHEC-ESSEC</t>
  </si>
  <si>
    <t>Epreuve Ecricome</t>
  </si>
  <si>
    <t>Epreuve EM Lyon</t>
  </si>
  <si>
    <t>Epreuve EDHEC</t>
  </si>
  <si>
    <t>LV1</t>
  </si>
  <si>
    <t>LV2</t>
  </si>
  <si>
    <t>Contraction/ Synthèse de textes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</si>
  <si>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</si>
  <si>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</si>
  <si>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</si>
  <si>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</si>
  <si>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</si>
  <si>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</si>
  <si>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</si>
  <si>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ENSAE</t>
  </si>
  <si>
    <t>ESSEC</t>
  </si>
  <si>
    <t>ESCP Europe</t>
  </si>
  <si>
    <t>EM Lyon</t>
  </si>
  <si>
    <t>EDHEC</t>
  </si>
  <si>
    <t>Audencia</t>
  </si>
  <si>
    <t>ESC Grenoble</t>
  </si>
  <si>
    <t>Telecom EM</t>
  </si>
  <si>
    <t>ICN Business School</t>
  </si>
  <si>
    <t>EM Strasbourg</t>
  </si>
  <si>
    <t>ESC Montpellier</t>
  </si>
  <si>
    <t>ESC Rennes</t>
  </si>
  <si>
    <t>ESC Dijon</t>
  </si>
  <si>
    <t>ESC La Rochelle</t>
  </si>
  <si>
    <t>ISC Paris</t>
  </si>
  <si>
    <t>EM Normandie</t>
  </si>
  <si>
    <t>ESC Troyes</t>
  </si>
  <si>
    <t>ESC Pau</t>
  </si>
  <si>
    <t>NEOMA</t>
  </si>
  <si>
    <t>Toulouse BS</t>
  </si>
  <si>
    <t>KEDGE</t>
  </si>
  <si>
    <t>SKEMA</t>
  </si>
  <si>
    <t>Epreuve II CCIR</t>
  </si>
  <si>
    <t>Epreuve ELVi</t>
  </si>
  <si>
    <t>Insignis BS (ex-INSEEC)</t>
  </si>
  <si>
    <t>ISG</t>
  </si>
  <si>
    <t xml:space="preserve">Major-Prépa : Le site des prépas HEC qui vous propose des contenus exclusifs et gratuits ! </t>
  </si>
  <si>
    <t>Points</t>
  </si>
  <si>
    <t>X</t>
  </si>
  <si>
    <t>ESCP</t>
  </si>
  <si>
    <t>CG</t>
  </si>
  <si>
    <t>Triptyque</t>
  </si>
  <si>
    <t>Entretien</t>
  </si>
  <si>
    <t>Moyenne écrits</t>
  </si>
  <si>
    <t>Moyenne oraux</t>
  </si>
  <si>
    <t>Moyenne totale</t>
  </si>
  <si>
    <t>Barre totale</t>
  </si>
  <si>
    <t>Tests psychotechniques</t>
  </si>
  <si>
    <t>Parisiennes</t>
  </si>
  <si>
    <t>Barre d'admissibilité 2015</t>
  </si>
  <si>
    <t>Admis ?</t>
  </si>
  <si>
    <t>Top 6</t>
  </si>
  <si>
    <t>Le reste</t>
  </si>
  <si>
    <t>Grenoble EM</t>
  </si>
  <si>
    <t>Montpellier BS</t>
  </si>
  <si>
    <t>Admissions</t>
  </si>
  <si>
    <t>HGGMC/ESH/Manag.</t>
  </si>
  <si>
    <t>Barre totale (2014)</t>
  </si>
  <si>
    <t>nc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</si>
</sst>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164" fontId="0" fillId="0" borderId="0" xfId="0" applyNumberFormat="1"/>
    <xf numFmtId="164" fontId="2" fillId="7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0" fontId="2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104775</xdr:rowOff>
    </xdr:from>
    <xdr:to>
      <xdr:col>9</xdr:col>
      <xdr:colOff>140279</xdr:colOff>
      <xdr:row>4</xdr:row>
      <xdr:rowOff>52786</xdr:rowOff>
    </xdr:to>
    <xdr:pic>
      <xdr:nvPicPr>
        <xdr:cNvPr id="2" name="Image 1" descr="logo forma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3200" y="104775"/>
          <a:ext cx="2131004" cy="767161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106898</xdr:rowOff>
    </xdr:from>
    <xdr:to>
      <xdr:col>3</xdr:col>
      <xdr:colOff>409575</xdr:colOff>
      <xdr:row>4</xdr:row>
      <xdr:rowOff>146049</xdr:rowOff>
    </xdr:to>
    <xdr:pic>
      <xdr:nvPicPr>
        <xdr:cNvPr id="3" name="Image 2" descr="simulateuradmissibilité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" y="106898"/>
          <a:ext cx="2990850" cy="858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1543484</xdr:colOff>
      <xdr:row>2</xdr:row>
      <xdr:rowOff>123981</xdr:rowOff>
    </xdr:to>
    <xdr:pic>
      <xdr:nvPicPr>
        <xdr:cNvPr id="2" name="Image 1" descr="mini major-prep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14300"/>
          <a:ext cx="1429184" cy="514506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0</xdr:row>
      <xdr:rowOff>231817</xdr:rowOff>
    </xdr:from>
    <xdr:to>
      <xdr:col>10</xdr:col>
      <xdr:colOff>352425</xdr:colOff>
      <xdr:row>3</xdr:row>
      <xdr:rowOff>136525</xdr:rowOff>
    </xdr:to>
    <xdr:pic>
      <xdr:nvPicPr>
        <xdr:cNvPr id="3" name="Image 2" descr="simulateuradmissibilité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24875" y="231817"/>
          <a:ext cx="2124075" cy="609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C19" sqref="C19"/>
    </sheetView>
  </sheetViews>
  <sheetFormatPr baseColWidth="10" defaultRowHeight="15"/>
  <cols>
    <col min="2" max="2" width="19.7109375" customWidth="1"/>
    <col min="5" max="5" width="17.85546875" customWidth="1"/>
    <col min="8" max="8" width="22" customWidth="1"/>
  </cols>
  <sheetData>
    <row r="1" spans="1:15">
      <c r="A1" s="15"/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5"/>
      <c r="B2" s="15"/>
      <c r="C2" s="15"/>
      <c r="D2" s="15"/>
      <c r="E2" s="25" t="s">
        <v>0</v>
      </c>
      <c r="F2" s="26"/>
      <c r="G2" s="26"/>
      <c r="H2" s="15"/>
      <c r="I2" s="15"/>
      <c r="J2" s="15"/>
      <c r="K2" s="15"/>
      <c r="L2" s="15"/>
      <c r="M2" s="15"/>
      <c r="N2" s="15"/>
      <c r="O2" s="15"/>
    </row>
    <row r="3" spans="1:15">
      <c r="A3" s="15"/>
      <c r="B3" s="15"/>
      <c r="C3" s="15"/>
      <c r="D3" s="15"/>
      <c r="E3" s="26"/>
      <c r="F3" s="26"/>
      <c r="G3" s="26"/>
      <c r="H3" s="15"/>
      <c r="I3" s="15"/>
      <c r="J3" s="15"/>
      <c r="K3" s="15"/>
      <c r="L3" s="15"/>
      <c r="M3" s="15"/>
      <c r="N3" s="15"/>
      <c r="O3" s="15"/>
    </row>
    <row r="4" spans="1:15" ht="19.5">
      <c r="A4" s="15"/>
      <c r="B4" s="15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>
      <c r="A6" s="15"/>
      <c r="B6" s="27" t="s">
        <v>1</v>
      </c>
      <c r="C6" s="27"/>
      <c r="D6" s="17"/>
      <c r="E6" s="27" t="s">
        <v>2</v>
      </c>
      <c r="F6" s="27"/>
      <c r="G6" s="17"/>
      <c r="H6" s="27" t="s">
        <v>3</v>
      </c>
      <c r="I6" s="27"/>
      <c r="J6" s="15"/>
      <c r="K6" s="15"/>
      <c r="L6" s="15"/>
      <c r="M6" s="15"/>
      <c r="N6" s="15"/>
      <c r="O6" s="15"/>
    </row>
    <row r="7" spans="1:15">
      <c r="A7" s="15"/>
      <c r="B7" s="2" t="s">
        <v>4</v>
      </c>
      <c r="C7" s="1">
        <v>10</v>
      </c>
      <c r="D7" s="17"/>
      <c r="E7" s="3" t="s">
        <v>5</v>
      </c>
      <c r="F7" s="1">
        <v>10</v>
      </c>
      <c r="G7" s="17"/>
      <c r="H7" s="2" t="s">
        <v>6</v>
      </c>
      <c r="I7" s="1">
        <v>10</v>
      </c>
      <c r="J7" s="15"/>
      <c r="K7" s="15"/>
      <c r="L7" s="15"/>
      <c r="M7" s="15"/>
      <c r="N7" s="15"/>
      <c r="O7" s="15"/>
    </row>
    <row r="8" spans="1:15">
      <c r="A8" s="15"/>
      <c r="B8" s="2" t="s">
        <v>44</v>
      </c>
      <c r="C8" s="1">
        <v>10</v>
      </c>
      <c r="D8" s="17"/>
      <c r="E8" s="3" t="s">
        <v>7</v>
      </c>
      <c r="F8" s="1">
        <v>10</v>
      </c>
      <c r="G8" s="17"/>
      <c r="H8" s="2" t="s">
        <v>8</v>
      </c>
      <c r="I8" s="1">
        <v>10</v>
      </c>
      <c r="J8" s="15"/>
      <c r="K8" s="15"/>
      <c r="L8" s="15"/>
      <c r="M8" s="15"/>
      <c r="N8" s="15"/>
      <c r="O8" s="15"/>
    </row>
    <row r="9" spans="1:15">
      <c r="A9" s="15"/>
      <c r="B9" s="2" t="s">
        <v>7</v>
      </c>
      <c r="C9" s="1">
        <v>10</v>
      </c>
      <c r="D9" s="17"/>
      <c r="E9" s="3" t="s">
        <v>9</v>
      </c>
      <c r="F9" s="1">
        <v>10</v>
      </c>
      <c r="G9" s="17"/>
      <c r="H9" s="2" t="s">
        <v>10</v>
      </c>
      <c r="I9" s="1">
        <v>10</v>
      </c>
      <c r="J9" s="15"/>
      <c r="K9" s="15"/>
      <c r="L9" s="15"/>
      <c r="M9" s="15"/>
      <c r="N9" s="15"/>
      <c r="O9" s="15"/>
    </row>
    <row r="10" spans="1:15">
      <c r="A10" s="15"/>
      <c r="B10" s="2" t="s">
        <v>10</v>
      </c>
      <c r="C10" s="1">
        <v>10</v>
      </c>
      <c r="D10" s="17"/>
      <c r="E10" s="17"/>
      <c r="F10" s="17"/>
      <c r="G10" s="17"/>
      <c r="H10" s="2" t="s">
        <v>9</v>
      </c>
      <c r="I10" s="1">
        <v>10</v>
      </c>
      <c r="J10" s="15"/>
      <c r="K10" s="15"/>
      <c r="L10" s="15"/>
      <c r="M10" s="15"/>
      <c r="N10" s="15"/>
      <c r="O10" s="15"/>
    </row>
    <row r="11" spans="1:15">
      <c r="A11" s="15"/>
      <c r="B11" s="2" t="s">
        <v>11</v>
      </c>
      <c r="C11" s="1">
        <v>10</v>
      </c>
      <c r="D11" s="17"/>
      <c r="E11" s="17"/>
      <c r="F11" s="1"/>
      <c r="G11" s="17"/>
      <c r="H11" s="1"/>
      <c r="I11" s="17"/>
      <c r="J11" s="15"/>
      <c r="K11" s="15"/>
      <c r="L11" s="15"/>
      <c r="M11" s="15"/>
      <c r="N11" s="15"/>
      <c r="O11" s="15"/>
    </row>
    <row r="12" spans="1:15">
      <c r="A12" s="15"/>
      <c r="B12" s="2" t="s">
        <v>9</v>
      </c>
      <c r="C12" s="1">
        <v>10</v>
      </c>
      <c r="D12" s="17"/>
      <c r="E12" s="17"/>
      <c r="F12" s="17"/>
      <c r="G12" s="17"/>
      <c r="H12" s="17"/>
      <c r="I12" s="17"/>
      <c r="J12" s="15"/>
      <c r="K12" s="15"/>
      <c r="L12" s="15"/>
      <c r="M12" s="15"/>
      <c r="N12" s="15"/>
      <c r="O12" s="15"/>
    </row>
    <row r="13" spans="1:15">
      <c r="A13" s="15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</row>
    <row r="14" spans="1:15">
      <c r="A14" s="15"/>
      <c r="B14" s="17"/>
      <c r="C14" s="17"/>
      <c r="D14" s="17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</row>
    <row r="15" spans="1:15">
      <c r="A15" s="15"/>
      <c r="B15" s="17"/>
      <c r="C15" s="17"/>
      <c r="D15" s="17"/>
      <c r="E15" s="17"/>
      <c r="F15" s="17"/>
      <c r="G15" s="17"/>
      <c r="H15" s="17"/>
      <c r="I15" s="17"/>
      <c r="J15" s="15"/>
      <c r="K15" s="15"/>
      <c r="L15" s="15"/>
      <c r="M15" s="15"/>
      <c r="N15" s="15"/>
      <c r="O15" s="15"/>
    </row>
    <row r="16" spans="1:15">
      <c r="A16" s="15"/>
      <c r="B16" s="27" t="s">
        <v>12</v>
      </c>
      <c r="C16" s="27"/>
      <c r="D16" s="17"/>
      <c r="E16" s="27" t="s">
        <v>13</v>
      </c>
      <c r="F16" s="27"/>
      <c r="G16" s="17"/>
      <c r="H16" s="27" t="s">
        <v>14</v>
      </c>
      <c r="I16" s="28"/>
      <c r="J16" s="15"/>
      <c r="K16" s="15"/>
      <c r="L16" s="15"/>
      <c r="M16" s="15"/>
      <c r="N16" s="15"/>
      <c r="O16" s="15"/>
    </row>
    <row r="17" spans="1:15">
      <c r="A17" s="15"/>
      <c r="B17" s="2" t="s">
        <v>45</v>
      </c>
      <c r="C17" s="1">
        <v>10</v>
      </c>
      <c r="D17" s="17"/>
      <c r="E17" s="2" t="s">
        <v>45</v>
      </c>
      <c r="F17" s="1">
        <v>10</v>
      </c>
      <c r="G17" s="17"/>
      <c r="H17" s="2" t="s">
        <v>6</v>
      </c>
      <c r="I17" s="1">
        <v>10</v>
      </c>
      <c r="J17" s="15"/>
      <c r="K17" s="15"/>
      <c r="L17" s="15"/>
      <c r="M17" s="15"/>
      <c r="N17" s="15"/>
      <c r="O17" s="15"/>
    </row>
    <row r="18" spans="1:15">
      <c r="A18" s="15"/>
      <c r="B18" s="2" t="s">
        <v>9</v>
      </c>
      <c r="C18" s="1">
        <v>10</v>
      </c>
      <c r="D18" s="17"/>
      <c r="E18" s="2" t="s">
        <v>9</v>
      </c>
      <c r="F18" s="1">
        <v>10</v>
      </c>
      <c r="G18" s="17"/>
      <c r="H18" s="2" t="s">
        <v>5</v>
      </c>
      <c r="I18" s="1">
        <v>10</v>
      </c>
      <c r="J18" s="15"/>
      <c r="K18" s="15"/>
      <c r="L18" s="15"/>
      <c r="M18" s="15"/>
      <c r="N18" s="15"/>
      <c r="O18" s="15"/>
    </row>
    <row r="19" spans="1:15">
      <c r="A19" s="15"/>
      <c r="B19" s="2" t="s">
        <v>15</v>
      </c>
      <c r="C19" s="1">
        <v>10</v>
      </c>
      <c r="D19" s="17"/>
      <c r="E19" s="2" t="s">
        <v>15</v>
      </c>
      <c r="F19" s="1">
        <v>10</v>
      </c>
      <c r="G19" s="17"/>
      <c r="H19" s="2" t="s">
        <v>9</v>
      </c>
      <c r="I19" s="1">
        <v>10</v>
      </c>
      <c r="J19" s="15"/>
      <c r="K19" s="15"/>
      <c r="L19" s="15"/>
      <c r="M19" s="15"/>
      <c r="N19" s="15"/>
      <c r="O19" s="15"/>
    </row>
    <row r="20" spans="1:15">
      <c r="A20" s="15"/>
      <c r="B20" s="17"/>
      <c r="C20" s="17"/>
      <c r="D20" s="17"/>
      <c r="E20" s="17"/>
      <c r="F20" s="17"/>
      <c r="G20" s="17"/>
      <c r="H20" s="17"/>
      <c r="I20" s="17"/>
      <c r="J20" s="15"/>
      <c r="K20" s="15"/>
      <c r="L20" s="15"/>
      <c r="M20" s="15"/>
      <c r="N20" s="15"/>
      <c r="O20" s="15"/>
    </row>
    <row r="21" spans="1:15">
      <c r="A21" s="15"/>
      <c r="B21" s="17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5"/>
    </row>
    <row r="22" spans="1:15">
      <c r="A22" s="15"/>
      <c r="B22" s="17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5">
      <c r="A23" s="18" t="s">
        <v>16</v>
      </c>
      <c r="B23" s="17"/>
      <c r="C23" s="17"/>
      <c r="D23" s="24" t="s">
        <v>48</v>
      </c>
      <c r="E23" s="24"/>
      <c r="F23" s="24"/>
      <c r="G23" s="24"/>
      <c r="H23" s="24"/>
      <c r="I23" s="17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24"/>
      <c r="E24" s="24"/>
      <c r="F24" s="24"/>
      <c r="G24" s="24"/>
      <c r="H24" s="24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24"/>
      <c r="E25" s="24"/>
      <c r="F25" s="24"/>
      <c r="G25" s="24"/>
      <c r="H25" s="24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protectedRanges>
    <protectedRange sqref="C7:C12 F7:F9 I7:I10 I17:I19 F17:F19 C17:C19" name="Maths"/>
  </protectedRanges>
  <mergeCells count="8">
    <mergeCell ref="D23:H25"/>
    <mergeCell ref="E2:G3"/>
    <mergeCell ref="B6:C6"/>
    <mergeCell ref="E6:F6"/>
    <mergeCell ref="H6:I6"/>
    <mergeCell ref="B16:C16"/>
    <mergeCell ref="E16:F16"/>
    <mergeCell ref="H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opLeftCell="A2" workbookViewId="0">
      <selection activeCell="D13" sqref="D13"/>
    </sheetView>
  </sheetViews>
  <sheetFormatPr baseColWidth="10" defaultRowHeight="15"/>
  <cols>
    <col min="1" max="1" width="24.85546875" customWidth="1"/>
    <col min="2" max="2" width="22.28515625" customWidth="1"/>
    <col min="3" max="3" width="28.85546875" customWidth="1"/>
    <col min="4" max="5" width="16.42578125" customWidth="1"/>
    <col min="6" max="6" width="16.28515625" customWidth="1"/>
  </cols>
  <sheetData>
    <row r="1" spans="1:19" ht="24.75" customHeight="1">
      <c r="A1" s="15"/>
      <c r="B1" s="15"/>
      <c r="C1" s="29" t="s">
        <v>17</v>
      </c>
      <c r="D1" s="29"/>
      <c r="E1" s="2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5"/>
      <c r="B3" s="4" t="s">
        <v>18</v>
      </c>
      <c r="C3" s="4" t="s">
        <v>61</v>
      </c>
      <c r="D3" s="4" t="s">
        <v>19</v>
      </c>
      <c r="E3" s="4" t="s">
        <v>49</v>
      </c>
      <c r="F3" s="5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>
      <c r="A4" s="15"/>
      <c r="B4" s="6" t="s">
        <v>21</v>
      </c>
      <c r="C4" s="7">
        <v>13.91</v>
      </c>
      <c r="D4" s="20">
        <f>(6*(Notes!C7)+5*(Notes!C8)+6*(Notes!F7)+4*(Notes!I7)+4*(Notes!C17)+2*(Notes!F17)+3*(Notes!I17))/30</f>
        <v>10</v>
      </c>
      <c r="E4" s="8">
        <f>D4*30</f>
        <v>300</v>
      </c>
      <c r="F4" s="9" t="str">
        <f t="shared" ref="F4:F28" si="0">IF($D4&gt;=$C4,"Oui","Non")</f>
        <v>Non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15"/>
      <c r="B5" s="6" t="s">
        <v>22</v>
      </c>
      <c r="C5" s="7">
        <v>13.2</v>
      </c>
      <c r="D5" s="20">
        <f>(25*(Notes!C7)+20*(Notes!I9)+15*(Notes!F8)+10*(Notes!C17))/70</f>
        <v>10</v>
      </c>
      <c r="E5" s="8" t="s">
        <v>50</v>
      </c>
      <c r="F5" s="10" t="str">
        <f t="shared" si="0"/>
        <v>Non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>
      <c r="A6" s="15"/>
      <c r="B6" s="6" t="s">
        <v>23</v>
      </c>
      <c r="C6" s="7">
        <v>13.15</v>
      </c>
      <c r="D6" s="20">
        <f>(Notes!C9*6+Notes!C8*5+Notes!F8*6+Notes!I8*5+4*Notes!C17+2*Notes!F17+2*Notes!I17)/30</f>
        <v>10</v>
      </c>
      <c r="E6" s="8">
        <f t="shared" ref="E6:E11" si="1">D6*30</f>
        <v>300</v>
      </c>
      <c r="F6" s="10" t="str">
        <f t="shared" si="0"/>
        <v>Non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>
      <c r="A7" s="15"/>
      <c r="B7" s="6" t="s">
        <v>24</v>
      </c>
      <c r="C7" s="7">
        <v>12.87</v>
      </c>
      <c r="D7" s="20">
        <f>(Notes!C7*6+4*Notes!C8+Notes!F7*5+4*Notes!I7+5*Notes!C17+3*Notes!F17+3*Notes!I18)/30</f>
        <v>10</v>
      </c>
      <c r="E7" s="8">
        <f t="shared" si="1"/>
        <v>300</v>
      </c>
      <c r="F7" s="10" t="str">
        <f t="shared" si="0"/>
        <v>Non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>
      <c r="A8" s="15"/>
      <c r="B8" s="11" t="s">
        <v>25</v>
      </c>
      <c r="C8" s="7">
        <v>12.11</v>
      </c>
      <c r="D8" s="20">
        <f>(6*Notes!C10+3*Notes!C8+5*Notes!F7+5*Notes!I9+5*Notes!C17+3*Notes!F17+3*Notes!I17)/30</f>
        <v>10</v>
      </c>
      <c r="E8" s="8">
        <f t="shared" si="1"/>
        <v>300</v>
      </c>
      <c r="F8" s="10" t="str">
        <f t="shared" si="0"/>
        <v>Non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>
      <c r="A9" s="15"/>
      <c r="B9" s="11" t="s">
        <v>26</v>
      </c>
      <c r="C9" s="7">
        <v>12.2</v>
      </c>
      <c r="D9" s="20">
        <f>(8*Notes!C11+2*Notes!C8+5*Notes!F7+5*Notes!I8+5*Notes!C17+3*Notes!I17+2*Notes!F17)/30</f>
        <v>10</v>
      </c>
      <c r="E9" s="8">
        <f t="shared" si="1"/>
        <v>300</v>
      </c>
      <c r="F9" s="10" t="str">
        <f t="shared" si="0"/>
        <v>Non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>
      <c r="A10" s="15"/>
      <c r="B10" s="11" t="s">
        <v>27</v>
      </c>
      <c r="C10" s="7">
        <v>11.4</v>
      </c>
      <c r="D10" s="20">
        <f>(8*Notes!C11+5*Notes!F7+5*Notes!I7+5*Notes!C17+3*Notes!F17+4*Notes!I17)/30</f>
        <v>10</v>
      </c>
      <c r="E10" s="8">
        <f t="shared" si="1"/>
        <v>300</v>
      </c>
      <c r="F10" s="10" t="str">
        <f t="shared" si="0"/>
        <v>Non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>
      <c r="A11" s="15"/>
      <c r="B11" s="12" t="s">
        <v>28</v>
      </c>
      <c r="C11" s="7">
        <v>11.5</v>
      </c>
      <c r="D11" s="20">
        <f>(8*Notes!C11+6*Notes!F7+Notes!I9*2+6*Notes!C17+5*Notes!F17+3*Notes!I17)/30</f>
        <v>10</v>
      </c>
      <c r="E11" s="8">
        <f t="shared" si="1"/>
        <v>300</v>
      </c>
      <c r="F11" s="10" t="str">
        <f t="shared" si="0"/>
        <v>Non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>
      <c r="A12" s="15"/>
      <c r="B12" s="12" t="s">
        <v>40</v>
      </c>
      <c r="C12" s="7">
        <v>11.25</v>
      </c>
      <c r="D12" s="20">
        <f>(Notes!C12*6+5*Notes!F9+4*Notes!I10+4*Notes!C18+3*Notes!F18+3*Notes!I19)/25</f>
        <v>10</v>
      </c>
      <c r="E12" s="8">
        <f>D12*25</f>
        <v>250</v>
      </c>
      <c r="F12" s="10" t="str">
        <f t="shared" si="0"/>
        <v>Non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>
      <c r="A13" s="15"/>
      <c r="B13" s="12" t="s">
        <v>41</v>
      </c>
      <c r="C13" s="7">
        <v>10.55</v>
      </c>
      <c r="D13" s="20">
        <f>(Notes!C11*8+Notes!F7*6+4*Notes!I9+6*Notes!C17+3*Notes!F17+3*Notes!I18)/30</f>
        <v>10</v>
      </c>
      <c r="E13" s="8">
        <f>D13*30</f>
        <v>300</v>
      </c>
      <c r="F13" s="10" t="str">
        <f t="shared" si="0"/>
        <v>Non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>
      <c r="A14" s="15"/>
      <c r="B14" s="13" t="s">
        <v>42</v>
      </c>
      <c r="C14" s="7">
        <v>9.9</v>
      </c>
      <c r="D14" s="20">
        <f>(Notes!C12*5+5*Notes!F9+5*Notes!I10+4*Notes!C18+3*Notes!F18+3*Notes!I19)/25</f>
        <v>10</v>
      </c>
      <c r="E14" s="8">
        <f>D14*25</f>
        <v>250</v>
      </c>
      <c r="F14" s="10" t="str">
        <f t="shared" si="0"/>
        <v>Oui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>
      <c r="A15" s="15"/>
      <c r="B15" s="13" t="s">
        <v>29</v>
      </c>
      <c r="C15" s="7">
        <v>9</v>
      </c>
      <c r="D15" s="20">
        <f>(Notes!C10*6+6*Notes!F7+5*Notes!I9+6*Notes!C19+3*Notes!F19+4*Notes!I18)/30</f>
        <v>10</v>
      </c>
      <c r="E15" s="8">
        <f t="shared" ref="E15:E28" si="2">D15*30</f>
        <v>300</v>
      </c>
      <c r="F15" s="10" t="str">
        <f t="shared" si="0"/>
        <v>Oui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>
      <c r="A16" s="15"/>
      <c r="B16" s="13" t="s">
        <v>43</v>
      </c>
      <c r="C16" s="7">
        <v>9</v>
      </c>
      <c r="D16" s="20">
        <f>(Notes!C10*5+4*Notes!F7+5*Notes!I9+6*Notes!C17+5*Notes!F17+5*Notes!I18)/30</f>
        <v>10</v>
      </c>
      <c r="E16" s="8">
        <f t="shared" si="2"/>
        <v>300</v>
      </c>
      <c r="F16" s="10" t="str">
        <f t="shared" si="0"/>
        <v>Oui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15"/>
      <c r="B17" s="13" t="s">
        <v>32</v>
      </c>
      <c r="C17" s="7">
        <v>8.3000000000000007</v>
      </c>
      <c r="D17" s="20">
        <f>(Notes!C11*6+6*Notes!F7+4*Notes!I9+6*Notes!C19+4*Notes!F19+4*Notes!I17)/30</f>
        <v>10</v>
      </c>
      <c r="E17" s="8">
        <f t="shared" si="2"/>
        <v>300</v>
      </c>
      <c r="F17" s="10" t="str">
        <f t="shared" si="0"/>
        <v>Oui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3" t="s">
        <v>33</v>
      </c>
      <c r="C18" s="7">
        <v>8.1</v>
      </c>
      <c r="D18" s="20">
        <f>(4*Notes!C10+5*Notes!F7+4*Notes!I9+8*Notes!C19+5*Notes!F19+4*Notes!I17)/30</f>
        <v>10</v>
      </c>
      <c r="E18" s="8">
        <f t="shared" si="2"/>
        <v>300</v>
      </c>
      <c r="F18" s="10" t="str">
        <f t="shared" si="0"/>
        <v>Oui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15"/>
      <c r="B19" s="13" t="s">
        <v>31</v>
      </c>
      <c r="C19" s="7">
        <v>8.1</v>
      </c>
      <c r="D19" s="20">
        <f>(5*Notes!C10+5*Notes!F7+4*Notes!I9+8*Notes!C19+5*Notes!F19+3*Notes!I17)/30</f>
        <v>10</v>
      </c>
      <c r="E19" s="8">
        <f t="shared" si="2"/>
        <v>300</v>
      </c>
      <c r="F19" s="10" t="str">
        <f t="shared" si="0"/>
        <v>Oui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15"/>
      <c r="B20" s="13" t="s">
        <v>30</v>
      </c>
      <c r="C20" s="7">
        <v>8</v>
      </c>
      <c r="D20" s="20">
        <f>(Notes!C12*5+5*Notes!F9+5*Notes!I10+4*Notes!C18+3*Notes!F18+3*Notes!I19)/25</f>
        <v>10</v>
      </c>
      <c r="E20" s="8">
        <f t="shared" si="2"/>
        <v>300</v>
      </c>
      <c r="F20" s="10" t="str">
        <f t="shared" si="0"/>
        <v>Oui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15"/>
      <c r="B21" s="14" t="s">
        <v>34</v>
      </c>
      <c r="C21" s="7">
        <v>7.01</v>
      </c>
      <c r="D21" s="20">
        <f>(5*Notes!C10+6*Notes!F7+4*Notes!I9+7*Notes!C19+5*Notes!F19+3*Notes!I17)/30</f>
        <v>10</v>
      </c>
      <c r="E21" s="8">
        <f t="shared" si="2"/>
        <v>300</v>
      </c>
      <c r="F21" s="10" t="str">
        <f t="shared" si="0"/>
        <v>Oui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15"/>
      <c r="B22" s="14" t="s">
        <v>35</v>
      </c>
      <c r="C22" s="7">
        <v>6.9</v>
      </c>
      <c r="D22" s="20">
        <f>(4*Notes!C10+6*Notes!F7+6*Notes!I9+7*Notes!C19+4*Notes!F19+3*Notes!I17)/30</f>
        <v>10</v>
      </c>
      <c r="E22" s="8">
        <f t="shared" si="2"/>
        <v>300</v>
      </c>
      <c r="F22" s="10" t="str">
        <f t="shared" si="0"/>
        <v>Oui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15"/>
      <c r="B23" s="14" t="s">
        <v>36</v>
      </c>
      <c r="C23" s="7">
        <v>6.52</v>
      </c>
      <c r="D23" s="20">
        <f>(4*Notes!C10+5*Notes!F7+5*Notes!I9+8*Notes!C19+5*Notes!F19+3*Notes!I17)/30</f>
        <v>10</v>
      </c>
      <c r="E23" s="8">
        <f t="shared" si="2"/>
        <v>300</v>
      </c>
      <c r="F23" s="10" t="str">
        <f t="shared" si="0"/>
        <v>Oui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15"/>
      <c r="B24" s="14" t="s">
        <v>47</v>
      </c>
      <c r="C24" s="7">
        <v>6.51</v>
      </c>
      <c r="D24" s="20">
        <f>(4*Notes!C10+5*Notes!F7+5*Notes!I9+8*Notes!C19+5*Notes!F19+3*Notes!I17)/30</f>
        <v>10</v>
      </c>
      <c r="E24" s="8">
        <f t="shared" si="2"/>
        <v>300</v>
      </c>
      <c r="F24" s="10" t="str">
        <f t="shared" si="0"/>
        <v>Oui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5"/>
      <c r="B25" s="14" t="s">
        <v>37</v>
      </c>
      <c r="C25" s="7">
        <v>6</v>
      </c>
      <c r="D25" s="20">
        <f>(6*Notes!C10+5*Notes!F7+4*Notes!I9+7*Notes!C19+5*Notes!F19+3*Notes!I17)/30</f>
        <v>10</v>
      </c>
      <c r="E25" s="8">
        <f t="shared" si="2"/>
        <v>300</v>
      </c>
      <c r="F25" s="10" t="str">
        <f t="shared" si="0"/>
        <v>Oui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15"/>
      <c r="B26" s="14" t="s">
        <v>38</v>
      </c>
      <c r="C26" s="7">
        <v>5.3</v>
      </c>
      <c r="D26" s="20">
        <f>(5*Notes!C10+6*Notes!F7+5*Notes!I9+6*Notes!C19+4*Notes!F19+4*Notes!I17)/30</f>
        <v>10</v>
      </c>
      <c r="E26" s="8">
        <f t="shared" si="2"/>
        <v>300</v>
      </c>
      <c r="F26" s="10" t="str">
        <f t="shared" si="0"/>
        <v>Oui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>
      <c r="A27" s="15"/>
      <c r="B27" s="14" t="s">
        <v>46</v>
      </c>
      <c r="C27" s="7">
        <v>5</v>
      </c>
      <c r="D27" s="20">
        <f>(4*Notes!C10+5*Notes!F7+5*Notes!I9+7*Notes!C19+6*Notes!F19+3*Notes!I17)/30</f>
        <v>10</v>
      </c>
      <c r="E27" s="8">
        <f t="shared" si="2"/>
        <v>300</v>
      </c>
      <c r="F27" s="10" t="str">
        <f t="shared" si="0"/>
        <v>Oui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>
      <c r="A28" s="15"/>
      <c r="B28" s="14" t="s">
        <v>39</v>
      </c>
      <c r="C28" s="7">
        <v>4.5</v>
      </c>
      <c r="D28" s="20">
        <f>(4*Notes!C10+3*Notes!F7+7*Notes!I9+9*Notes!C19+4*Notes!F19+3*Notes!I17)/30</f>
        <v>10</v>
      </c>
      <c r="E28" s="8">
        <f t="shared" si="2"/>
        <v>300</v>
      </c>
      <c r="F28" s="10" t="str">
        <f t="shared" si="0"/>
        <v>Oui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</sheetData>
  <mergeCells count="1">
    <mergeCell ref="C1:E1"/>
  </mergeCells>
  <conditionalFormatting sqref="D4:E4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F4">
    <cfRule type="expression" priority="10">
      <formula>IF($D4&gt;=$C4,"10","1")</formula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7">
      <dataBar>
        <cfvo type="min" val="0"/>
        <cfvo type="max" val="0"/>
        <color rgb="FF638EC6"/>
      </dataBar>
    </cfRule>
    <cfRule type="iconSet" priority="8">
      <iconSet iconSet="3Symbols2">
        <cfvo type="percent" val="0"/>
        <cfvo type="percent" val="&quot;Non&quot;"/>
        <cfvo type="percent" val="&quot;Oui&quot;"/>
      </iconSet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5">
      <iconSet iconSet="3Symbols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4:C28">
    <cfRule type="iconSet" priority="1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:F28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B4:B28">
    <cfRule type="colorScale" priority="127">
      <colorScale>
        <cfvo type="min" val="0"/>
        <cfvo type="percentile" val="50"/>
        <cfvo type="max" val="0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ignoredErrors>
    <ignoredError sqref="D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tabSelected="1" topLeftCell="B9" workbookViewId="0">
      <selection activeCell="D33" sqref="D33"/>
    </sheetView>
  </sheetViews>
  <sheetFormatPr baseColWidth="10" defaultRowHeight="15"/>
  <cols>
    <col min="2" max="2" width="21.5703125" customWidth="1"/>
    <col min="3" max="5" width="14.7109375" customWidth="1"/>
    <col min="7" max="7" width="16.85546875" customWidth="1"/>
    <col min="8" max="9" width="11.5703125" bestFit="1" customWidth="1"/>
    <col min="10" max="10" width="11.42578125" customWidth="1"/>
  </cols>
  <sheetData>
    <row r="1" spans="2:10" ht="24" customHeight="1">
      <c r="E1" s="32" t="s">
        <v>67</v>
      </c>
      <c r="F1" s="33"/>
    </row>
    <row r="3" spans="2:10">
      <c r="B3" s="29" t="s">
        <v>60</v>
      </c>
      <c r="C3" s="29"/>
      <c r="D3" s="29"/>
      <c r="E3" s="29"/>
      <c r="G3" s="30" t="s">
        <v>63</v>
      </c>
      <c r="H3" s="30"/>
      <c r="I3" s="30"/>
      <c r="J3" s="30"/>
    </row>
    <row r="4" spans="2:10">
      <c r="B4" s="29"/>
      <c r="C4" s="29"/>
      <c r="D4" s="29"/>
      <c r="E4" s="29"/>
      <c r="G4" s="30"/>
      <c r="H4" s="30"/>
      <c r="I4" s="30"/>
      <c r="J4" s="30"/>
    </row>
    <row r="5" spans="2:10">
      <c r="C5" s="22" t="s">
        <v>21</v>
      </c>
      <c r="D5" s="22" t="s">
        <v>23</v>
      </c>
      <c r="E5" s="22" t="s">
        <v>51</v>
      </c>
      <c r="F5" s="22"/>
      <c r="G5" s="22"/>
      <c r="H5" s="22" t="s">
        <v>25</v>
      </c>
      <c r="I5" s="22" t="s">
        <v>26</v>
      </c>
      <c r="J5" s="22" t="s">
        <v>27</v>
      </c>
    </row>
    <row r="6" spans="2:10">
      <c r="B6" s="22" t="s">
        <v>1</v>
      </c>
      <c r="C6">
        <v>10</v>
      </c>
      <c r="E6">
        <v>10</v>
      </c>
      <c r="G6" s="22" t="s">
        <v>54</v>
      </c>
      <c r="H6">
        <v>10</v>
      </c>
      <c r="I6">
        <v>10</v>
      </c>
      <c r="J6">
        <v>10</v>
      </c>
    </row>
    <row r="7" spans="2:10">
      <c r="B7" s="22" t="s">
        <v>12</v>
      </c>
      <c r="C7">
        <v>10</v>
      </c>
      <c r="D7">
        <v>10</v>
      </c>
      <c r="E7">
        <v>10</v>
      </c>
      <c r="G7" s="22" t="s">
        <v>12</v>
      </c>
      <c r="H7">
        <v>10</v>
      </c>
      <c r="I7">
        <v>10</v>
      </c>
      <c r="J7">
        <v>10</v>
      </c>
    </row>
    <row r="8" spans="2:10">
      <c r="B8" s="22" t="s">
        <v>13</v>
      </c>
      <c r="C8">
        <v>10</v>
      </c>
      <c r="D8">
        <v>10</v>
      </c>
      <c r="E8">
        <v>10</v>
      </c>
      <c r="G8" s="22" t="s">
        <v>13</v>
      </c>
      <c r="H8">
        <v>10</v>
      </c>
      <c r="I8">
        <v>10</v>
      </c>
      <c r="J8">
        <v>10</v>
      </c>
    </row>
    <row r="9" spans="2:10">
      <c r="B9" s="22" t="s">
        <v>68</v>
      </c>
      <c r="C9">
        <v>10</v>
      </c>
    </row>
    <row r="10" spans="2:10">
      <c r="B10" s="22" t="s">
        <v>52</v>
      </c>
      <c r="C10">
        <v>10</v>
      </c>
      <c r="G10" s="22"/>
    </row>
    <row r="11" spans="2:10">
      <c r="B11" s="22" t="s">
        <v>53</v>
      </c>
      <c r="C11">
        <v>10</v>
      </c>
      <c r="G11" s="22"/>
    </row>
    <row r="12" spans="2:10">
      <c r="B12" s="22" t="s">
        <v>54</v>
      </c>
      <c r="D12">
        <v>10</v>
      </c>
      <c r="E12">
        <v>10</v>
      </c>
    </row>
    <row r="13" spans="2:10">
      <c r="B13" s="22" t="s">
        <v>59</v>
      </c>
      <c r="D13">
        <v>10</v>
      </c>
      <c r="G13" s="22"/>
    </row>
    <row r="14" spans="2:10">
      <c r="G14" s="22"/>
    </row>
    <row r="15" spans="2:10">
      <c r="B15" s="22" t="s">
        <v>55</v>
      </c>
      <c r="C15" s="19">
        <f>Admissibilités!D4</f>
        <v>10</v>
      </c>
      <c r="D15">
        <f>Admissibilités!D5</f>
        <v>10</v>
      </c>
      <c r="E15" s="19">
        <f>Admissibilités!D7</f>
        <v>10</v>
      </c>
      <c r="G15" s="22" t="s">
        <v>55</v>
      </c>
      <c r="H15">
        <f>Admissibilités!D8</f>
        <v>10</v>
      </c>
      <c r="I15">
        <f>Admissibilités!D9</f>
        <v>10</v>
      </c>
      <c r="J15">
        <f>Admissibilités!D10</f>
        <v>10</v>
      </c>
    </row>
    <row r="16" spans="2:10">
      <c r="B16" s="22" t="s">
        <v>56</v>
      </c>
      <c r="C16" s="19">
        <f>(C6*9+C7*4+C8*3+C9*8+C10*6+C11*6)/36</f>
        <v>10</v>
      </c>
      <c r="D16">
        <f>(6*D7+4*D8+10*D12+10*D13)/30</f>
        <v>10</v>
      </c>
      <c r="E16" s="19">
        <f>(8*E6+6*E7+4*E8+12*E12)/30</f>
        <v>10</v>
      </c>
      <c r="G16" s="22" t="s">
        <v>56</v>
      </c>
      <c r="H16">
        <f>(9*H6+3*H7+3*H8)/15</f>
        <v>10</v>
      </c>
      <c r="I16">
        <f>(20*I6+6*I7+4*I8)/30</f>
        <v>10</v>
      </c>
      <c r="J16">
        <f>(8*J6+4*J7+3*J8)/15</f>
        <v>10</v>
      </c>
    </row>
    <row r="18" spans="2:11">
      <c r="B18" s="22" t="s">
        <v>57</v>
      </c>
      <c r="C18" s="35">
        <f>(30*C15+C16*36)/66</f>
        <v>10</v>
      </c>
      <c r="D18" s="35">
        <f>(D15+D16)/2</f>
        <v>10</v>
      </c>
      <c r="E18" s="35">
        <f>(E15+E16)/2</f>
        <v>10</v>
      </c>
      <c r="G18" s="22" t="s">
        <v>57</v>
      </c>
      <c r="H18" s="35">
        <f>(30*H15+15*H16)/45</f>
        <v>10</v>
      </c>
      <c r="I18" s="35">
        <f>(I15+I16)/2</f>
        <v>10</v>
      </c>
      <c r="J18" s="35">
        <f>(J15*30+J16*15)/45</f>
        <v>10</v>
      </c>
    </row>
    <row r="19" spans="2:11">
      <c r="B19" s="22" t="s">
        <v>69</v>
      </c>
      <c r="C19" s="35">
        <v>12.64</v>
      </c>
      <c r="D19" s="35">
        <v>11.71</v>
      </c>
      <c r="E19" s="35">
        <v>12.66</v>
      </c>
      <c r="F19" s="35"/>
      <c r="G19" s="36" t="s">
        <v>58</v>
      </c>
      <c r="H19" s="35">
        <v>12.59</v>
      </c>
      <c r="I19" s="35">
        <v>12.34</v>
      </c>
      <c r="J19" s="35">
        <v>12.28</v>
      </c>
    </row>
    <row r="20" spans="2:11">
      <c r="B20" s="22" t="s">
        <v>62</v>
      </c>
      <c r="C20" s="21" t="str">
        <f>IF($C18&gt;=$C19,"Oui","Non")</f>
        <v>Non</v>
      </c>
      <c r="D20" s="21" t="str">
        <f>IF($D18&gt;=$D19,"Oui","Non")</f>
        <v>Non</v>
      </c>
      <c r="E20" s="21" t="str">
        <f>IF($E18&gt;=$E19,"Oui","Non")</f>
        <v>Non</v>
      </c>
      <c r="G20" s="22" t="s">
        <v>62</v>
      </c>
      <c r="H20" s="21" t="str">
        <f>IF($H18&gt;=$H19,"Oui","Non")</f>
        <v>Non</v>
      </c>
      <c r="I20" s="21" t="str">
        <f>IF($I18&gt;=$I19,"Oui","Non")</f>
        <v>Non</v>
      </c>
      <c r="J20" s="21" t="str">
        <f>IF($J18&gt;=$J19,"Oui","Non")</f>
        <v>Non</v>
      </c>
    </row>
    <row r="22" spans="2:11" ht="15" customHeight="1">
      <c r="B22" s="31" t="s">
        <v>64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>
      <c r="C24" s="22" t="s">
        <v>65</v>
      </c>
      <c r="D24" s="22" t="s">
        <v>40</v>
      </c>
      <c r="E24" s="22" t="s">
        <v>41</v>
      </c>
      <c r="F24" s="22" t="s">
        <v>42</v>
      </c>
      <c r="G24" s="23" t="s">
        <v>29</v>
      </c>
      <c r="H24" s="22" t="s">
        <v>43</v>
      </c>
      <c r="I24" s="22" t="s">
        <v>33</v>
      </c>
      <c r="J24" s="22" t="s">
        <v>66</v>
      </c>
      <c r="K24" s="22" t="s">
        <v>31</v>
      </c>
    </row>
    <row r="25" spans="2:11">
      <c r="B25" s="22" t="s">
        <v>54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10</v>
      </c>
    </row>
    <row r="26" spans="2:11">
      <c r="B26" s="22" t="s">
        <v>12</v>
      </c>
      <c r="C26">
        <v>10</v>
      </c>
      <c r="D26">
        <v>10</v>
      </c>
      <c r="E26">
        <v>10</v>
      </c>
      <c r="F26">
        <v>10</v>
      </c>
      <c r="G26">
        <v>10</v>
      </c>
      <c r="H26">
        <v>10</v>
      </c>
      <c r="I26">
        <v>10</v>
      </c>
      <c r="J26">
        <v>10</v>
      </c>
      <c r="K26">
        <v>10</v>
      </c>
    </row>
    <row r="27" spans="2:11">
      <c r="B27" s="22" t="s">
        <v>13</v>
      </c>
      <c r="C27">
        <v>10</v>
      </c>
      <c r="D27">
        <v>10</v>
      </c>
      <c r="E27">
        <v>10</v>
      </c>
      <c r="F27">
        <v>10</v>
      </c>
      <c r="G27">
        <v>10</v>
      </c>
      <c r="H27">
        <v>10</v>
      </c>
      <c r="I27">
        <v>10</v>
      </c>
      <c r="J27">
        <v>10</v>
      </c>
      <c r="K27">
        <v>10</v>
      </c>
    </row>
    <row r="29" spans="2:11">
      <c r="B29" s="22" t="s">
        <v>55</v>
      </c>
      <c r="C29" s="35">
        <f>Admissibilités!D11</f>
        <v>10</v>
      </c>
      <c r="D29" s="35">
        <f>Admissibilités!D12</f>
        <v>10</v>
      </c>
      <c r="E29" s="35">
        <f>Admissibilités!D13</f>
        <v>10</v>
      </c>
      <c r="F29" s="35">
        <f>Admissibilités!D14</f>
        <v>10</v>
      </c>
      <c r="G29" s="35">
        <f>Admissibilités!D15</f>
        <v>10</v>
      </c>
      <c r="H29" s="35">
        <f>Admissibilités!D16</f>
        <v>10</v>
      </c>
      <c r="I29" s="35">
        <f>Admissibilités!D17</f>
        <v>10</v>
      </c>
      <c r="J29" s="35">
        <f>Admissibilités!D18</f>
        <v>10</v>
      </c>
      <c r="K29" s="35">
        <f>Admissibilités!D19</f>
        <v>10</v>
      </c>
    </row>
    <row r="30" spans="2:11">
      <c r="B30" s="22" t="s">
        <v>56</v>
      </c>
      <c r="C30">
        <f>(10*C25+5*C26+5*C27)/20</f>
        <v>10</v>
      </c>
      <c r="D30">
        <f>(7*D25+4*D26+4*D27)/15</f>
        <v>10</v>
      </c>
      <c r="E30">
        <f>(11*E25+5*E26+4*E27)/20</f>
        <v>10</v>
      </c>
      <c r="F30">
        <f>(12*F25+4*F26+3*F27)/19</f>
        <v>10</v>
      </c>
      <c r="G30">
        <f>(12*G25+4*G26+4*G27)/20</f>
        <v>10</v>
      </c>
      <c r="H30">
        <f>(12*H25+4*H26+4*H27)/20</f>
        <v>10</v>
      </c>
      <c r="I30">
        <f>(20*I25+6*I26+4*I27)/30</f>
        <v>10</v>
      </c>
      <c r="J30">
        <f>(20*J25+5*J26+5*J27)/30</f>
        <v>10</v>
      </c>
      <c r="K30">
        <f>(20*K25+6*K26+4*K27)/30</f>
        <v>10</v>
      </c>
    </row>
    <row r="32" spans="2:11">
      <c r="B32" s="22" t="s">
        <v>57</v>
      </c>
      <c r="C32">
        <f>(C29*30+C30*20)/50</f>
        <v>10</v>
      </c>
      <c r="D32" s="34">
        <f>(D29*25+D30*15)/40</f>
        <v>10</v>
      </c>
      <c r="E32">
        <f>(E29*30+E30*20)/50</f>
        <v>10</v>
      </c>
      <c r="F32">
        <f>(F29*25+F30*19)/44</f>
        <v>10</v>
      </c>
      <c r="G32">
        <f>(G29*30+G30*20)/50</f>
        <v>10</v>
      </c>
      <c r="H32">
        <f>(H29*30+H30*20)/50</f>
        <v>10</v>
      </c>
      <c r="I32">
        <f>(I29*30+I30*30)/60</f>
        <v>10</v>
      </c>
      <c r="J32">
        <f>(J29*30+J30*30)/60</f>
        <v>10</v>
      </c>
      <c r="K32">
        <f>(K29*30+K30*30)/60</f>
        <v>10</v>
      </c>
    </row>
    <row r="33" spans="2:11">
      <c r="B33" s="22" t="s">
        <v>58</v>
      </c>
      <c r="C33" s="34">
        <v>12.37</v>
      </c>
      <c r="D33" s="34" t="s">
        <v>70</v>
      </c>
      <c r="E33" s="34" t="s">
        <v>70</v>
      </c>
      <c r="F33" s="34" t="s">
        <v>70</v>
      </c>
      <c r="G33" s="34">
        <v>9.5</v>
      </c>
      <c r="H33" s="34">
        <v>11.55</v>
      </c>
      <c r="I33" s="34" t="s">
        <v>70</v>
      </c>
      <c r="J33" s="34">
        <v>11.9</v>
      </c>
      <c r="K33" s="34">
        <v>11.9</v>
      </c>
    </row>
    <row r="34" spans="2:11">
      <c r="B34" s="22" t="s">
        <v>62</v>
      </c>
      <c r="C34" s="21" t="str">
        <f>IF($C32&gt;=$C33,"Oui","Non")</f>
        <v>Non</v>
      </c>
      <c r="D34" s="21" t="str">
        <f>IF($D32&gt;=$D33,"Oui","Non")</f>
        <v>Non</v>
      </c>
      <c r="E34" s="21" t="str">
        <f>IF($E32&gt;=$E33,"Oui","Non")</f>
        <v>Non</v>
      </c>
      <c r="F34" s="21" t="str">
        <f>IF($F32&gt;=$F33,"Oui","Non")</f>
        <v>Non</v>
      </c>
      <c r="G34" s="21" t="str">
        <f>IF($G32&gt;=$G33,"Oui","Non")</f>
        <v>Oui</v>
      </c>
      <c r="H34" s="21" t="str">
        <f>IF($H32&gt;=$H33,"Oui","Non")</f>
        <v>Non</v>
      </c>
      <c r="I34" s="21" t="str">
        <f>IF($I32&gt;=$I33,"Oui","Non")</f>
        <v>Non</v>
      </c>
      <c r="J34" s="21" t="str">
        <f>IF($J32&gt;=$J33,"Oui","Non")</f>
        <v>Non</v>
      </c>
      <c r="K34" s="21" t="str">
        <f>IF($K32&gt;=$K33,"Oui","Non")</f>
        <v>Non</v>
      </c>
    </row>
  </sheetData>
  <mergeCells count="4">
    <mergeCell ref="B3:E4"/>
    <mergeCell ref="G3:J4"/>
    <mergeCell ref="B22:K23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Notes</vt:lpstr>
      <vt:lpstr>Admissibilités</vt:lpstr>
      <vt:lpstr>Oraux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Mehdi Cornilliet</cp:lastModifiedBy>
  <dcterms:created xsi:type="dcterms:W3CDTF">2014-06-06T09:58:16Z</dcterms:created>
  <dcterms:modified xsi:type="dcterms:W3CDTF">2015-07-02T15:48:42Z</dcterms:modified>
</cp:coreProperties>
</file>